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60" windowHeight="5028" activeTab="2"/>
  </bookViews>
  <sheets>
    <sheet name="fakturace " sheetId="1" r:id="rId1"/>
    <sheet name="jednot.náklady" sheetId="2" r:id="rId2"/>
    <sheet name="info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  <author>Bucharov?</author>
    <author>ASUS</author>
    <author>Miluše Bucharová</author>
  </authors>
  <commentList>
    <comment ref="C2" authorId="0">
      <text>
        <r>
          <rPr>
            <b/>
            <sz val="9"/>
            <color indexed="8"/>
            <rFont val="Tahoma"/>
            <family val="2"/>
          </rPr>
          <t xml:space="preserve">uziv:
</t>
        </r>
        <r>
          <rPr>
            <sz val="9"/>
            <color indexed="8"/>
            <rFont val="Tahoma"/>
            <family val="2"/>
          </rPr>
          <t xml:space="preserve"> za 14 dní
</t>
        </r>
      </text>
    </comment>
    <comment ref="D18" authorId="0">
      <text>
        <r>
          <rPr>
            <b/>
            <sz val="9"/>
            <color indexed="8"/>
            <rFont val="Tahoma"/>
            <family val="2"/>
          </rPr>
          <t xml:space="preserve">uziv:
</t>
        </r>
        <r>
          <rPr>
            <sz val="9"/>
            <color indexed="8"/>
            <rFont val="Tahoma"/>
            <family val="2"/>
          </rPr>
          <t xml:space="preserve">vč.DPH
</t>
        </r>
      </text>
    </comment>
    <comment ref="C23" authorId="0">
      <text>
        <r>
          <rPr>
            <b/>
            <sz val="9"/>
            <color indexed="8"/>
            <rFont val="Tahoma"/>
            <family val="2"/>
          </rPr>
          <t xml:space="preserve">uziv:
</t>
        </r>
        <r>
          <rPr>
            <sz val="9"/>
            <color indexed="8"/>
            <rFont val="Tahoma"/>
            <family val="2"/>
          </rPr>
          <t xml:space="preserve">platba od občanů
</t>
        </r>
      </text>
    </comment>
    <comment ref="R2" authorId="0">
      <text>
        <r>
          <rPr>
            <b/>
            <sz val="9"/>
            <color indexed="8"/>
            <rFont val="Tahoma"/>
            <family val="2"/>
          </rPr>
          <t xml:space="preserve">uziv:
</t>
        </r>
        <r>
          <rPr>
            <sz val="9"/>
            <color indexed="8"/>
            <rFont val="Tahoma"/>
            <family val="2"/>
          </rPr>
          <t xml:space="preserve">15 %
</t>
        </r>
      </text>
    </comment>
    <comment ref="G2" authorId="1">
      <text>
        <r>
          <rPr>
            <b/>
            <sz val="9"/>
            <rFont val="Tahoma"/>
            <family val="2"/>
          </rPr>
          <t>Bucharová:</t>
        </r>
        <r>
          <rPr>
            <sz val="9"/>
            <rFont val="Tahoma"/>
            <family val="2"/>
          </rPr>
          <t xml:space="preserve">
svozy jsou nepravidelně</t>
        </r>
      </text>
    </comment>
    <comment ref="B18" authorId="1">
      <text>
        <r>
          <rPr>
            <b/>
            <sz val="9"/>
            <rFont val="Tahoma"/>
            <family val="2"/>
          </rPr>
          <t>Bucharová:</t>
        </r>
        <r>
          <rPr>
            <sz val="9"/>
            <rFont val="Tahoma"/>
            <family val="2"/>
          </rPr>
          <t xml:space="preserve">
pytle
</t>
        </r>
      </text>
    </comment>
    <comment ref="B28" authorId="2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1.Q 
</t>
        </r>
      </text>
    </comment>
    <comment ref="S2" authorId="2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fakturace je v následujícím měsíci
</t>
        </r>
      </text>
    </comment>
    <comment ref="B25" authorId="2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4.Q 
</t>
        </r>
      </text>
    </comment>
    <comment ref="A20" authorId="2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vč,rekreačních domů
</t>
        </r>
      </text>
    </comment>
    <comment ref="G22" authorId="2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poplatky za odpad vč.TS by měly krýt 2/3 nákladů
</t>
        </r>
      </text>
    </comment>
    <comment ref="L2" authorId="2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4 ks 52x/R
</t>
        </r>
      </text>
    </comment>
    <comment ref="J2" authorId="2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1 kontejner 13x/R
</t>
        </r>
      </text>
    </comment>
    <comment ref="B23" authorId="2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bez DPH
</t>
        </r>
      </text>
    </comment>
    <comment ref="B3" authorId="2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150 ks
</t>
        </r>
      </text>
    </comment>
    <comment ref="I2" authorId="2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12 x rok
</t>
        </r>
      </text>
    </comment>
    <comment ref="K2" authorId="2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52x R</t>
        </r>
      </text>
    </comment>
    <comment ref="M2" authorId="2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1 x M (13 x R)
</t>
        </r>
      </text>
    </comment>
    <comment ref="O2" authorId="2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26 x R</t>
        </r>
      </text>
    </comment>
    <comment ref="B30" authorId="3">
      <text>
        <r>
          <rPr>
            <b/>
            <sz val="9"/>
            <rFont val="Tahoma"/>
            <family val="2"/>
          </rPr>
          <t>Miluše Bucharová:</t>
        </r>
        <r>
          <rPr>
            <sz val="9"/>
            <rFont val="Tahoma"/>
            <family val="2"/>
          </rPr>
          <t xml:space="preserve">
2.Q</t>
        </r>
      </text>
    </comment>
  </commentList>
</comments>
</file>

<file path=xl/comments2.xml><?xml version="1.0" encoding="utf-8"?>
<comments xmlns="http://schemas.openxmlformats.org/spreadsheetml/2006/main">
  <authors>
    <author>ASUS</author>
  </authors>
  <commentList>
    <comment ref="A4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VČ.PYTLŮ
</t>
        </r>
      </text>
    </comment>
  </commentList>
</comments>
</file>

<file path=xl/sharedStrings.xml><?xml version="1.0" encoding="utf-8"?>
<sst xmlns="http://schemas.openxmlformats.org/spreadsheetml/2006/main" count="129" uniqueCount="84">
  <si>
    <t>N Á K L A D Y</t>
  </si>
  <si>
    <t>svoz papír</t>
  </si>
  <si>
    <t>kontejner ks</t>
  </si>
  <si>
    <t xml:space="preserve">svoz sklo </t>
  </si>
  <si>
    <t>svoz plasty</t>
  </si>
  <si>
    <t>svoz SO</t>
  </si>
  <si>
    <t>základy celkem</t>
  </si>
  <si>
    <t>DPH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</si>
  <si>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</si>
  <si>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</si>
  <si>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</si>
  <si>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</si>
  <si>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</si>
  <si>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</si>
  <si>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</si>
  <si>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</si>
  <si>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</si>
  <si>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</si>
  <si>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</si>
  <si>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</si>
  <si>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náklady netříděného odpadu</t>
  </si>
  <si>
    <t>osobu</t>
  </si>
  <si>
    <t>popelnici</t>
  </si>
  <si>
    <t>Kč</t>
  </si>
  <si>
    <t>pytle</t>
  </si>
  <si>
    <t>NÁKLADY</t>
  </si>
  <si>
    <t>Náklady netříděný odpad</t>
  </si>
  <si>
    <t>celkem</t>
  </si>
  <si>
    <t>výběr poplatků</t>
  </si>
  <si>
    <t>EKO -KOM</t>
  </si>
  <si>
    <t>obce</t>
  </si>
  <si>
    <t>kontrola</t>
  </si>
  <si>
    <t>náklady na svoz odpadů</t>
  </si>
  <si>
    <t>občané</t>
  </si>
  <si>
    <t>fakturace</t>
  </si>
  <si>
    <t>náklady-výnosy</t>
  </si>
  <si>
    <t>PŘÍJMY</t>
  </si>
  <si>
    <t>EKO_KOM</t>
  </si>
  <si>
    <t>tříděný odpad</t>
  </si>
  <si>
    <t>vybrané poplatky</t>
  </si>
  <si>
    <t xml:space="preserve">příjmy celkem </t>
  </si>
  <si>
    <t xml:space="preserve">počet obyvatel </t>
  </si>
  <si>
    <t>Celkové FCC náklady</t>
  </si>
  <si>
    <t xml:space="preserve">Celkové FCC náklady </t>
  </si>
  <si>
    <t>KOM a platby občanů</t>
  </si>
  <si>
    <t>snížené o platby EKO</t>
  </si>
  <si>
    <t xml:space="preserve"> popelnici</t>
  </si>
  <si>
    <t>NÁKLADY PŘI ZAPOČTENÍ PŘÍJMŮ</t>
  </si>
  <si>
    <t>kontejner</t>
  </si>
  <si>
    <t>LEDEN</t>
  </si>
  <si>
    <t>KVĚTEN</t>
  </si>
  <si>
    <t>Náklady FCC+TECH.SLUŽBY</t>
  </si>
  <si>
    <t>FCC vč.TS</t>
  </si>
  <si>
    <t>celkové náklady na odpady</t>
  </si>
  <si>
    <t>ÚNOR</t>
  </si>
  <si>
    <t xml:space="preserve">NÁKLADY  TECHNICKÉ  SLUŽBY </t>
  </si>
  <si>
    <t>ČERVEN</t>
  </si>
  <si>
    <t>ČERVENEC</t>
  </si>
  <si>
    <t>LISTOPAD</t>
  </si>
  <si>
    <t>PROSINEC</t>
  </si>
  <si>
    <t>ŘÍJEN</t>
  </si>
  <si>
    <t>svoz  kovy</t>
  </si>
  <si>
    <t>Výsledek odpadového hospodářství Červená Třemešná</t>
  </si>
  <si>
    <t>Příjmy</t>
  </si>
  <si>
    <t>Výdaje</t>
  </si>
  <si>
    <t xml:space="preserve">prodej známek </t>
  </si>
  <si>
    <t>svoz komunálního odpadu</t>
  </si>
  <si>
    <t>prodej pytlů</t>
  </si>
  <si>
    <t>svoz tříděného odpadu</t>
  </si>
  <si>
    <t>zpětný odběr EKO-KOM</t>
  </si>
  <si>
    <t>Sběrný dvůr Hořice</t>
  </si>
  <si>
    <t>Celkem</t>
  </si>
  <si>
    <t xml:space="preserve">nákup pytlů </t>
  </si>
  <si>
    <t>náklady tříděného odpadu</t>
  </si>
  <si>
    <t>svoz kovy</t>
  </si>
  <si>
    <t>zisk či ztráta obce na svoz všech odpadů</t>
  </si>
  <si>
    <t>SRPEN</t>
  </si>
  <si>
    <t>odpadu</t>
  </si>
  <si>
    <t>ZÁŘÍ</t>
  </si>
  <si>
    <t xml:space="preserve">Obec Červená Třemešná své odpadové hospodářství dotuje částkou </t>
  </si>
  <si>
    <t>DUBEN</t>
  </si>
  <si>
    <t>BŘEZEN</t>
  </si>
  <si>
    <t>zpevněné plochy pod kontejnery</t>
  </si>
  <si>
    <t xml:space="preserve"> 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</si>
</sst>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#;[Red]\-#,###"/>
    <numFmt numFmtId="167" formatCode="0.0"/>
    <numFmt numFmtId="168" formatCode="0;[Red]\-0"/>
    <numFmt numFmtId="169" formatCode="#,##0.0"/>
    <numFmt numFmtId="170" formatCode="0.0;[Red]\-0.0"/>
    <numFmt numFmtId="171" formatCode="0.0000"/>
    <numFmt numFmtId="172" formatCode="0.000"/>
    <numFmt numFmtId="173" formatCode="#,##0.000"/>
  </numFmts>
  <fonts count="58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1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6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6"/>
      <color rgb="FFFF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medium"/>
      <bottom style="double">
        <color indexed="8"/>
      </bottom>
    </border>
    <border>
      <left>
        <color indexed="63"/>
      </left>
      <right style="medium"/>
      <top style="medium"/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/>
      <right style="medium">
        <color indexed="8"/>
      </right>
      <top>
        <color indexed="63"/>
      </top>
      <bottom style="double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hair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0" fillId="33" borderId="12" xfId="0" applyNumberFormat="1" applyFont="1" applyFill="1" applyBorder="1" applyAlignment="1">
      <alignment horizontal="center" wrapText="1"/>
    </xf>
    <xf numFmtId="3" fontId="0" fillId="34" borderId="12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38" fontId="0" fillId="0" borderId="0" xfId="0" applyNumberFormat="1" applyAlignment="1">
      <alignment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35" borderId="19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38" fontId="2" fillId="35" borderId="19" xfId="0" applyNumberFormat="1" applyFont="1" applyFill="1" applyBorder="1" applyAlignment="1">
      <alignment horizontal="center"/>
    </xf>
    <xf numFmtId="0" fontId="8" fillId="36" borderId="19" xfId="0" applyFont="1" applyFill="1" applyBorder="1" applyAlignment="1">
      <alignment horizontal="left"/>
    </xf>
    <xf numFmtId="3" fontId="2" fillId="36" borderId="19" xfId="0" applyNumberFormat="1" applyFont="1" applyFill="1" applyBorder="1" applyAlignment="1">
      <alignment horizontal="center"/>
    </xf>
    <xf numFmtId="38" fontId="2" fillId="37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38" fontId="4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8" fontId="2" fillId="37" borderId="24" xfId="0" applyNumberFormat="1" applyFont="1" applyFill="1" applyBorder="1" applyAlignment="1">
      <alignment horizontal="center" vertical="center"/>
    </xf>
    <xf numFmtId="168" fontId="2" fillId="37" borderId="25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27" xfId="0" applyNumberFormat="1" applyFont="1" applyBorder="1" applyAlignment="1">
      <alignment horizontal="center" wrapText="1"/>
    </xf>
    <xf numFmtId="3" fontId="0" fillId="0" borderId="28" xfId="0" applyNumberFormat="1" applyFont="1" applyBorder="1" applyAlignment="1">
      <alignment horizontal="center"/>
    </xf>
    <xf numFmtId="3" fontId="53" fillId="0" borderId="29" xfId="0" applyNumberFormat="1" applyFont="1" applyBorder="1" applyAlignment="1">
      <alignment horizontal="center" wrapText="1"/>
    </xf>
    <xf numFmtId="4" fontId="0" fillId="0" borderId="30" xfId="0" applyNumberFormat="1" applyBorder="1" applyAlignment="1">
      <alignment horizontal="center"/>
    </xf>
    <xf numFmtId="169" fontId="0" fillId="0" borderId="14" xfId="0" applyNumberFormat="1" applyBorder="1" applyAlignment="1">
      <alignment horizontal="center"/>
    </xf>
    <xf numFmtId="0" fontId="0" fillId="38" borderId="0" xfId="0" applyFill="1" applyAlignment="1">
      <alignment/>
    </xf>
    <xf numFmtId="0" fontId="8" fillId="39" borderId="19" xfId="0" applyFont="1" applyFill="1" applyBorder="1" applyAlignment="1">
      <alignment horizontal="left"/>
    </xf>
    <xf numFmtId="0" fontId="2" fillId="0" borderId="31" xfId="0" applyFont="1" applyBorder="1" applyAlignment="1">
      <alignment horizontal="center"/>
    </xf>
    <xf numFmtId="3" fontId="0" fillId="40" borderId="32" xfId="0" applyNumberFormat="1" applyFill="1" applyBorder="1" applyAlignment="1">
      <alignment horizontal="center" wrapText="1"/>
    </xf>
    <xf numFmtId="3" fontId="0" fillId="34" borderId="32" xfId="0" applyNumberFormat="1" applyFill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left"/>
    </xf>
    <xf numFmtId="3" fontId="0" fillId="0" borderId="35" xfId="0" applyNumberFormat="1" applyBorder="1" applyAlignment="1">
      <alignment horizontal="center" wrapText="1"/>
    </xf>
    <xf numFmtId="0" fontId="0" fillId="0" borderId="36" xfId="0" applyFont="1" applyBorder="1" applyAlignment="1">
      <alignment horizontal="left"/>
    </xf>
    <xf numFmtId="3" fontId="0" fillId="0" borderId="37" xfId="0" applyNumberFormat="1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0" fillId="0" borderId="43" xfId="0" applyNumberFormat="1" applyBorder="1" applyAlignment="1">
      <alignment horizontal="center" wrapText="1"/>
    </xf>
    <xf numFmtId="0" fontId="11" fillId="0" borderId="44" xfId="0" applyFont="1" applyBorder="1" applyAlignment="1">
      <alignment horizontal="center"/>
    </xf>
    <xf numFmtId="0" fontId="0" fillId="13" borderId="0" xfId="0" applyFill="1" applyAlignment="1">
      <alignment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38" fontId="2" fillId="0" borderId="46" xfId="0" applyNumberFormat="1" applyFont="1" applyBorder="1" applyAlignment="1">
      <alignment horizontal="center"/>
    </xf>
    <xf numFmtId="38" fontId="2" fillId="0" borderId="47" xfId="0" applyNumberFormat="1" applyFont="1" applyBorder="1" applyAlignment="1">
      <alignment horizontal="center"/>
    </xf>
    <xf numFmtId="0" fontId="0" fillId="0" borderId="48" xfId="0" applyBorder="1" applyAlignment="1">
      <alignment/>
    </xf>
    <xf numFmtId="38" fontId="4" fillId="0" borderId="49" xfId="0" applyNumberFormat="1" applyFont="1" applyBorder="1" applyAlignment="1">
      <alignment horizontal="center"/>
    </xf>
    <xf numFmtId="166" fontId="4" fillId="0" borderId="50" xfId="0" applyNumberFormat="1" applyFont="1" applyBorder="1" applyAlignment="1">
      <alignment horizontal="center"/>
    </xf>
    <xf numFmtId="0" fontId="0" fillId="0" borderId="5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41" borderId="21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45" xfId="0" applyFont="1" applyFill="1" applyBorder="1" applyAlignment="1">
      <alignment horizontal="center"/>
    </xf>
    <xf numFmtId="0" fontId="0" fillId="41" borderId="52" xfId="0" applyFill="1" applyBorder="1" applyAlignment="1">
      <alignment horizontal="center"/>
    </xf>
    <xf numFmtId="0" fontId="12" fillId="0" borderId="31" xfId="0" applyFont="1" applyBorder="1" applyAlignment="1">
      <alignment/>
    </xf>
    <xf numFmtId="0" fontId="0" fillId="36" borderId="53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38" fontId="4" fillId="0" borderId="55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6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3" fontId="0" fillId="0" borderId="47" xfId="0" applyNumberFormat="1" applyFill="1" applyBorder="1" applyAlignment="1">
      <alignment horizontal="center"/>
    </xf>
    <xf numFmtId="4" fontId="0" fillId="0" borderId="58" xfId="0" applyNumberForma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36" borderId="53" xfId="0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30" xfId="0" applyFill="1" applyBorder="1" applyAlignment="1">
      <alignment/>
    </xf>
    <xf numFmtId="0" fontId="0" fillId="0" borderId="38" xfId="0" applyFill="1" applyBorder="1" applyAlignment="1">
      <alignment/>
    </xf>
    <xf numFmtId="3" fontId="2" fillId="35" borderId="19" xfId="0" applyNumberFormat="1" applyFont="1" applyFill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4" fillId="0" borderId="31" xfId="0" applyFont="1" applyBorder="1" applyAlignment="1">
      <alignment/>
    </xf>
    <xf numFmtId="4" fontId="54" fillId="0" borderId="26" xfId="0" applyNumberFormat="1" applyFont="1" applyBorder="1" applyAlignment="1">
      <alignment/>
    </xf>
    <xf numFmtId="4" fontId="3" fillId="0" borderId="26" xfId="0" applyNumberFormat="1" applyFont="1" applyBorder="1" applyAlignment="1">
      <alignment horizontal="right"/>
    </xf>
    <xf numFmtId="4" fontId="0" fillId="0" borderId="38" xfId="0" applyNumberFormat="1" applyBorder="1" applyAlignment="1">
      <alignment horizontal="center"/>
    </xf>
    <xf numFmtId="4" fontId="0" fillId="0" borderId="38" xfId="0" applyNumberFormat="1" applyFill="1" applyBorder="1" applyAlignment="1">
      <alignment horizontal="center"/>
    </xf>
    <xf numFmtId="4" fontId="0" fillId="0" borderId="47" xfId="0" applyNumberFormat="1" applyFill="1" applyBorder="1" applyAlignment="1">
      <alignment horizontal="center"/>
    </xf>
    <xf numFmtId="0" fontId="55" fillId="0" borderId="0" xfId="0" applyFont="1" applyAlignment="1">
      <alignment/>
    </xf>
    <xf numFmtId="3" fontId="0" fillId="33" borderId="60" xfId="0" applyNumberFormat="1" applyFont="1" applyFill="1" applyBorder="1" applyAlignment="1">
      <alignment horizontal="center" wrapText="1"/>
    </xf>
    <xf numFmtId="3" fontId="0" fillId="0" borderId="29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4" fontId="0" fillId="0" borderId="46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 wrapText="1"/>
    </xf>
    <xf numFmtId="3" fontId="0" fillId="42" borderId="61" xfId="0" applyNumberFormat="1" applyFill="1" applyBorder="1" applyAlignment="1">
      <alignment horizontal="center" wrapText="1"/>
    </xf>
    <xf numFmtId="3" fontId="0" fillId="40" borderId="62" xfId="0" applyNumberFormat="1" applyFont="1" applyFill="1" applyBorder="1" applyAlignment="1">
      <alignment horizontal="center" wrapText="1"/>
    </xf>
    <xf numFmtId="3" fontId="0" fillId="0" borderId="63" xfId="0" applyNumberFormat="1" applyFont="1" applyBorder="1" applyAlignment="1">
      <alignment horizontal="center" wrapText="1"/>
    </xf>
    <xf numFmtId="3" fontId="0" fillId="34" borderId="64" xfId="0" applyNumberFormat="1" applyFont="1" applyFill="1" applyBorder="1" applyAlignment="1">
      <alignment horizontal="center" wrapText="1"/>
    </xf>
    <xf numFmtId="3" fontId="0" fillId="0" borderId="28" xfId="0" applyNumberFormat="1" applyFont="1" applyBorder="1" applyAlignment="1">
      <alignment horizontal="center" wrapText="1"/>
    </xf>
    <xf numFmtId="0" fontId="1" fillId="0" borderId="45" xfId="0" applyFont="1" applyBorder="1" applyAlignment="1">
      <alignment horizontal="center"/>
    </xf>
    <xf numFmtId="3" fontId="0" fillId="43" borderId="27" xfId="0" applyNumberFormat="1" applyFont="1" applyFill="1" applyBorder="1" applyAlignment="1">
      <alignment horizontal="center" wrapText="1"/>
    </xf>
    <xf numFmtId="3" fontId="0" fillId="0" borderId="64" xfId="0" applyNumberFormat="1" applyFont="1" applyBorder="1" applyAlignment="1">
      <alignment horizontal="center" wrapText="1"/>
    </xf>
    <xf numFmtId="3" fontId="0" fillId="0" borderId="38" xfId="0" applyNumberFormat="1" applyFill="1" applyBorder="1" applyAlignment="1">
      <alignment horizontal="center"/>
    </xf>
    <xf numFmtId="3" fontId="0" fillId="0" borderId="46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9" borderId="31" xfId="0" applyFont="1" applyFill="1" applyBorder="1" applyAlignment="1">
      <alignment/>
    </xf>
    <xf numFmtId="0" fontId="8" fillId="9" borderId="26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7" fillId="0" borderId="45" xfId="0" applyFont="1" applyBorder="1" applyAlignment="1">
      <alignment/>
    </xf>
    <xf numFmtId="3" fontId="7" fillId="0" borderId="52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30" xfId="0" applyFont="1" applyBorder="1" applyAlignment="1">
      <alignment/>
    </xf>
    <xf numFmtId="3" fontId="7" fillId="0" borderId="38" xfId="0" applyNumberFormat="1" applyFont="1" applyBorder="1" applyAlignment="1">
      <alignment horizontal="center"/>
    </xf>
    <xf numFmtId="0" fontId="7" fillId="0" borderId="46" xfId="0" applyFont="1" applyBorder="1" applyAlignment="1">
      <alignment/>
    </xf>
    <xf numFmtId="3" fontId="7" fillId="0" borderId="47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31" xfId="0" applyFont="1" applyBorder="1" applyAlignment="1">
      <alignment/>
    </xf>
    <xf numFmtId="3" fontId="8" fillId="0" borderId="26" xfId="0" applyNumberFormat="1" applyFont="1" applyBorder="1" applyAlignment="1">
      <alignment horizontal="center"/>
    </xf>
    <xf numFmtId="0" fontId="7" fillId="0" borderId="31" xfId="0" applyFont="1" applyBorder="1" applyAlignment="1">
      <alignment/>
    </xf>
    <xf numFmtId="3" fontId="7" fillId="0" borderId="0" xfId="0" applyNumberFormat="1" applyFont="1" applyAlignment="1">
      <alignment horizontal="center"/>
    </xf>
    <xf numFmtId="0" fontId="13" fillId="9" borderId="31" xfId="0" applyFont="1" applyFill="1" applyBorder="1" applyAlignment="1">
      <alignment/>
    </xf>
    <xf numFmtId="0" fontId="13" fillId="9" borderId="48" xfId="0" applyFont="1" applyFill="1" applyBorder="1" applyAlignment="1">
      <alignment horizontal="center"/>
    </xf>
    <xf numFmtId="0" fontId="13" fillId="9" borderId="48" xfId="0" applyFont="1" applyFill="1" applyBorder="1" applyAlignment="1">
      <alignment/>
    </xf>
    <xf numFmtId="3" fontId="1" fillId="9" borderId="26" xfId="0" applyNumberFormat="1" applyFont="1" applyFill="1" applyBorder="1" applyAlignment="1">
      <alignment horizontal="center"/>
    </xf>
    <xf numFmtId="3" fontId="0" fillId="40" borderId="12" xfId="0" applyNumberFormat="1" applyFill="1" applyBorder="1" applyAlignment="1">
      <alignment horizontal="center" wrapText="1"/>
    </xf>
    <xf numFmtId="3" fontId="0" fillId="43" borderId="61" xfId="0" applyNumberFormat="1" applyFont="1" applyFill="1" applyBorder="1" applyAlignment="1">
      <alignment horizontal="center" wrapText="1"/>
    </xf>
    <xf numFmtId="4" fontId="14" fillId="44" borderId="31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58" xfId="0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 wrapText="1"/>
    </xf>
    <xf numFmtId="3" fontId="3" fillId="0" borderId="17" xfId="0" applyNumberFormat="1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8" xfId="0" applyBorder="1" applyAlignment="1">
      <alignment horizontal="center"/>
    </xf>
    <xf numFmtId="3" fontId="0" fillId="34" borderId="63" xfId="0" applyNumberFormat="1" applyFont="1" applyFill="1" applyBorder="1" applyAlignment="1">
      <alignment horizontal="center" wrapText="1"/>
    </xf>
    <xf numFmtId="0" fontId="0" fillId="0" borderId="47" xfId="0" applyBorder="1" applyAlignment="1">
      <alignment/>
    </xf>
    <xf numFmtId="4" fontId="0" fillId="0" borderId="44" xfId="0" applyNumberFormat="1" applyBorder="1" applyAlignment="1">
      <alignment/>
    </xf>
    <xf numFmtId="2" fontId="0" fillId="0" borderId="46" xfId="0" applyNumberForma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45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9" fontId="56" fillId="0" borderId="0" xfId="46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FF33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zoomScale="115" zoomScaleNormal="115" zoomScalePageLayoutView="0" workbookViewId="0" topLeftCell="J7">
      <selection activeCell="G25" sqref="G25"/>
    </sheetView>
  </sheetViews>
  <sheetFormatPr defaultColWidth="9.140625" defaultRowHeight="12.75"/>
  <cols>
    <col min="1" max="1" width="10.421875" style="0" customWidth="1"/>
    <col min="2" max="2" width="8.8515625" style="0" customWidth="1"/>
    <col min="3" max="3" width="9.140625" style="0" customWidth="1"/>
    <col min="4" max="4" width="10.28125" style="0" customWidth="1"/>
    <col min="5" max="5" width="7.28125" style="0" customWidth="1"/>
    <col min="7" max="7" width="9.28125" style="0" customWidth="1"/>
    <col min="11" max="11" width="10.00390625" style="1" customWidth="1"/>
    <col min="12" max="14" width="9.421875" style="0" customWidth="1"/>
    <col min="15" max="15" width="9.140625" style="1" customWidth="1"/>
    <col min="16" max="16" width="13.57421875" style="0" bestFit="1" customWidth="1"/>
    <col min="17" max="17" width="12.00390625" style="0" customWidth="1"/>
    <col min="18" max="19" width="11.7109375" style="0" customWidth="1"/>
    <col min="20" max="20" width="3.57421875" style="0" customWidth="1"/>
    <col min="21" max="21" width="16.7109375" style="0" customWidth="1"/>
    <col min="22" max="22" width="19.8515625" style="0" customWidth="1"/>
    <col min="24" max="24" width="2.8515625" style="0" customWidth="1"/>
  </cols>
  <sheetData>
    <row r="1" spans="1:19" ht="26.25" customHeight="1" thickBot="1">
      <c r="A1" s="1"/>
      <c r="B1" s="2" t="s">
        <v>0</v>
      </c>
      <c r="C1" s="104"/>
      <c r="D1" s="104"/>
      <c r="E1" s="103"/>
      <c r="F1" s="103"/>
      <c r="G1" s="104"/>
      <c r="H1" s="138"/>
      <c r="I1" s="127"/>
      <c r="J1" s="127"/>
      <c r="K1" s="127"/>
      <c r="L1" s="127"/>
      <c r="M1" s="127"/>
      <c r="N1" s="127"/>
      <c r="O1" s="128"/>
      <c r="P1" s="104"/>
      <c r="Q1" s="104"/>
      <c r="R1" s="104"/>
      <c r="S1" s="104"/>
    </row>
    <row r="2" spans="1:22" ht="26.25" thickBot="1">
      <c r="A2" s="3">
        <v>2023</v>
      </c>
      <c r="B2" s="35" t="s">
        <v>24</v>
      </c>
      <c r="C2" s="123" t="s">
        <v>1</v>
      </c>
      <c r="D2" s="124" t="s">
        <v>2</v>
      </c>
      <c r="E2" s="133" t="s">
        <v>61</v>
      </c>
      <c r="F2" s="137" t="s">
        <v>2</v>
      </c>
      <c r="G2" s="139" t="s">
        <v>3</v>
      </c>
      <c r="H2" s="140" t="s">
        <v>2</v>
      </c>
      <c r="I2" s="134" t="s">
        <v>4</v>
      </c>
      <c r="J2" s="135" t="s">
        <v>2</v>
      </c>
      <c r="K2" s="134" t="s">
        <v>4</v>
      </c>
      <c r="L2" s="135" t="s">
        <v>2</v>
      </c>
      <c r="M2" s="178" t="s">
        <v>5</v>
      </c>
      <c r="N2" s="124" t="s">
        <v>2</v>
      </c>
      <c r="O2" s="136" t="s">
        <v>5</v>
      </c>
      <c r="P2" s="124" t="s">
        <v>2</v>
      </c>
      <c r="Q2" s="48" t="s">
        <v>6</v>
      </c>
      <c r="R2" s="49" t="s">
        <v>7</v>
      </c>
      <c r="S2" s="50" t="s">
        <v>34</v>
      </c>
      <c r="U2" s="182" t="s">
        <v>55</v>
      </c>
      <c r="V2" s="183"/>
    </row>
    <row r="3" spans="1:22" ht="13.5" thickTop="1">
      <c r="A3" s="7" t="s">
        <v>8</v>
      </c>
      <c r="B3" s="36"/>
      <c r="C3" s="125">
        <f aca="true" t="shared" si="0" ref="C3:C13">503.42*D3</f>
        <v>2013.68</v>
      </c>
      <c r="D3" s="107">
        <v>4</v>
      </c>
      <c r="E3" s="8">
        <v>287</v>
      </c>
      <c r="F3" s="8">
        <v>1</v>
      </c>
      <c r="G3" s="51">
        <f>270*H3</f>
        <v>270</v>
      </c>
      <c r="H3" s="129">
        <v>1</v>
      </c>
      <c r="I3" s="51">
        <v>25.5</v>
      </c>
      <c r="J3" s="129">
        <v>1</v>
      </c>
      <c r="K3" s="125">
        <f aca="true" t="shared" si="1" ref="K3:K13">1325.47*L3</f>
        <v>5301.88</v>
      </c>
      <c r="L3" s="107">
        <v>4</v>
      </c>
      <c r="M3" s="8">
        <f aca="true" t="shared" si="2" ref="M3:M13">52.13*N3</f>
        <v>781.95</v>
      </c>
      <c r="N3" s="8">
        <v>15</v>
      </c>
      <c r="O3" s="51">
        <f aca="true" t="shared" si="3" ref="O3:O13">105.89*P3</f>
        <v>3706.15</v>
      </c>
      <c r="P3" s="129">
        <v>35</v>
      </c>
      <c r="Q3" s="51">
        <f>B3+C3+E3+G3+K3+M3+O3</f>
        <v>12360.66</v>
      </c>
      <c r="R3" s="10">
        <f>+Q3*15%</f>
        <v>1854.099</v>
      </c>
      <c r="S3" s="119">
        <f>+Q3+R3+I3</f>
        <v>14240.259</v>
      </c>
      <c r="T3" s="47"/>
      <c r="U3" s="74" t="s">
        <v>49</v>
      </c>
      <c r="V3" s="110">
        <v>1040</v>
      </c>
    </row>
    <row r="4" spans="1:22" ht="12.75">
      <c r="A4" s="7" t="s">
        <v>9</v>
      </c>
      <c r="B4" s="33"/>
      <c r="C4" s="125">
        <f t="shared" si="0"/>
        <v>2013.68</v>
      </c>
      <c r="D4" s="107">
        <v>4</v>
      </c>
      <c r="E4" s="8"/>
      <c r="F4" s="8">
        <v>0</v>
      </c>
      <c r="G4" s="51">
        <f aca="true" t="shared" si="4" ref="G4:G9">270*H4</f>
        <v>0</v>
      </c>
      <c r="H4" s="129"/>
      <c r="I4" s="51"/>
      <c r="J4" s="129">
        <v>1</v>
      </c>
      <c r="K4" s="125">
        <f t="shared" si="1"/>
        <v>5301.88</v>
      </c>
      <c r="L4" s="107">
        <v>4</v>
      </c>
      <c r="M4" s="8">
        <f t="shared" si="2"/>
        <v>834.08</v>
      </c>
      <c r="N4" s="8">
        <v>16</v>
      </c>
      <c r="O4" s="51">
        <f t="shared" si="3"/>
        <v>3600.26</v>
      </c>
      <c r="P4" s="129">
        <v>34</v>
      </c>
      <c r="Q4" s="51">
        <f aca="true" t="shared" si="5" ref="Q4:Q10">B4+C4+E4+G4+I4+K4+M4+O4</f>
        <v>11749.900000000001</v>
      </c>
      <c r="R4" s="10">
        <f>+Q4*15%</f>
        <v>1762.4850000000001</v>
      </c>
      <c r="S4" s="119">
        <f>+Q4+R4</f>
        <v>13512.385000000002</v>
      </c>
      <c r="U4" s="63" t="s">
        <v>54</v>
      </c>
      <c r="V4" s="64">
        <v>738.94</v>
      </c>
    </row>
    <row r="5" spans="1:22" ht="12.75">
      <c r="A5" s="7" t="s">
        <v>10</v>
      </c>
      <c r="B5" s="33"/>
      <c r="C5" s="125">
        <f t="shared" si="0"/>
        <v>2013.68</v>
      </c>
      <c r="D5" s="107">
        <v>4</v>
      </c>
      <c r="E5" s="8"/>
      <c r="F5" s="8">
        <v>0</v>
      </c>
      <c r="G5" s="51">
        <f t="shared" si="4"/>
        <v>0</v>
      </c>
      <c r="H5" s="129"/>
      <c r="I5" s="51"/>
      <c r="J5" s="129">
        <v>1</v>
      </c>
      <c r="K5" s="125">
        <f t="shared" si="1"/>
        <v>5301.88</v>
      </c>
      <c r="L5" s="107">
        <v>4</v>
      </c>
      <c r="M5" s="8">
        <f t="shared" si="2"/>
        <v>886.21</v>
      </c>
      <c r="N5" s="8">
        <v>17</v>
      </c>
      <c r="O5" s="51">
        <f t="shared" si="3"/>
        <v>3600.26</v>
      </c>
      <c r="P5" s="129">
        <v>34</v>
      </c>
      <c r="Q5" s="51">
        <f t="shared" si="5"/>
        <v>11802.03</v>
      </c>
      <c r="R5" s="10">
        <f aca="true" t="shared" si="6" ref="R5:R13">+Q5*15%</f>
        <v>1770.3045</v>
      </c>
      <c r="S5" s="119">
        <f aca="true" t="shared" si="7" ref="S5:S10">+Q5+R5</f>
        <v>13572.3345</v>
      </c>
      <c r="U5" s="63" t="s">
        <v>81</v>
      </c>
      <c r="V5" s="64">
        <v>59.26</v>
      </c>
    </row>
    <row r="6" spans="1:22" ht="12.75">
      <c r="A6" s="7" t="s">
        <v>11</v>
      </c>
      <c r="B6" s="33"/>
      <c r="C6" s="125">
        <f t="shared" si="0"/>
        <v>2013.68</v>
      </c>
      <c r="D6" s="107">
        <v>4</v>
      </c>
      <c r="E6" s="8"/>
      <c r="F6" s="8">
        <v>0</v>
      </c>
      <c r="G6" s="51">
        <f t="shared" si="4"/>
        <v>0</v>
      </c>
      <c r="H6" s="129"/>
      <c r="I6" s="51"/>
      <c r="J6" s="129">
        <v>1</v>
      </c>
      <c r="K6" s="125">
        <f t="shared" si="1"/>
        <v>5301.88</v>
      </c>
      <c r="L6" s="107">
        <v>4</v>
      </c>
      <c r="M6" s="8">
        <f t="shared" si="2"/>
        <v>886.21</v>
      </c>
      <c r="N6" s="8">
        <v>17</v>
      </c>
      <c r="O6" s="51">
        <f t="shared" si="3"/>
        <v>3600.26</v>
      </c>
      <c r="P6" s="129">
        <v>34</v>
      </c>
      <c r="Q6" s="51">
        <f t="shared" si="5"/>
        <v>11802.03</v>
      </c>
      <c r="R6" s="10">
        <f t="shared" si="6"/>
        <v>1770.3045</v>
      </c>
      <c r="S6" s="119">
        <f t="shared" si="7"/>
        <v>13572.3345</v>
      </c>
      <c r="T6" s="6"/>
      <c r="U6" s="111" t="s">
        <v>80</v>
      </c>
      <c r="V6" s="64">
        <v>238.05</v>
      </c>
    </row>
    <row r="7" spans="1:22" ht="12.75">
      <c r="A7" s="7" t="s">
        <v>12</v>
      </c>
      <c r="B7" s="33"/>
      <c r="C7" s="125">
        <f t="shared" si="0"/>
        <v>2013.68</v>
      </c>
      <c r="D7" s="107">
        <v>4</v>
      </c>
      <c r="E7" s="8"/>
      <c r="F7" s="8">
        <v>0</v>
      </c>
      <c r="G7" s="51">
        <f t="shared" si="4"/>
        <v>0</v>
      </c>
      <c r="H7" s="129"/>
      <c r="I7" s="51"/>
      <c r="J7" s="129">
        <v>1</v>
      </c>
      <c r="K7" s="125">
        <f t="shared" si="1"/>
        <v>5301.88</v>
      </c>
      <c r="L7" s="107">
        <v>4</v>
      </c>
      <c r="M7" s="8">
        <f t="shared" si="2"/>
        <v>886.21</v>
      </c>
      <c r="N7" s="8">
        <v>17</v>
      </c>
      <c r="O7" s="51">
        <f t="shared" si="3"/>
        <v>3600.26</v>
      </c>
      <c r="P7" s="129">
        <v>34</v>
      </c>
      <c r="Q7" s="51">
        <f t="shared" si="5"/>
        <v>11802.03</v>
      </c>
      <c r="R7" s="10">
        <f t="shared" si="6"/>
        <v>1770.3045</v>
      </c>
      <c r="S7" s="119">
        <f t="shared" si="7"/>
        <v>13572.3345</v>
      </c>
      <c r="U7" s="111" t="s">
        <v>50</v>
      </c>
      <c r="V7" s="112">
        <v>510.89</v>
      </c>
    </row>
    <row r="8" spans="1:22" ht="12.75">
      <c r="A8" s="7" t="s">
        <v>13</v>
      </c>
      <c r="B8" s="33"/>
      <c r="C8" s="125">
        <f t="shared" si="0"/>
        <v>2013.68</v>
      </c>
      <c r="D8" s="107">
        <v>4</v>
      </c>
      <c r="E8" s="8"/>
      <c r="F8" s="8">
        <v>0</v>
      </c>
      <c r="G8" s="51">
        <f t="shared" si="4"/>
        <v>0</v>
      </c>
      <c r="H8" s="129"/>
      <c r="I8" s="51"/>
      <c r="J8" s="129">
        <v>1</v>
      </c>
      <c r="K8" s="125">
        <f t="shared" si="1"/>
        <v>5301.88</v>
      </c>
      <c r="L8" s="107">
        <v>4</v>
      </c>
      <c r="M8" s="8">
        <f t="shared" si="2"/>
        <v>886.21</v>
      </c>
      <c r="N8" s="8">
        <v>17</v>
      </c>
      <c r="O8" s="51">
        <f t="shared" si="3"/>
        <v>3600.26</v>
      </c>
      <c r="P8" s="129">
        <v>34</v>
      </c>
      <c r="Q8" s="51">
        <f t="shared" si="5"/>
        <v>11802.03</v>
      </c>
      <c r="R8" s="10">
        <f t="shared" si="6"/>
        <v>1770.3045</v>
      </c>
      <c r="S8" s="119">
        <f t="shared" si="7"/>
        <v>13572.3345</v>
      </c>
      <c r="U8" s="63" t="s">
        <v>56</v>
      </c>
      <c r="V8" s="64">
        <v>449.08</v>
      </c>
    </row>
    <row r="9" spans="1:22" ht="12.75">
      <c r="A9" s="7" t="s">
        <v>14</v>
      </c>
      <c r="B9" s="33"/>
      <c r="C9" s="125">
        <f t="shared" si="0"/>
        <v>2013.68</v>
      </c>
      <c r="D9" s="107">
        <v>4</v>
      </c>
      <c r="E9" s="8"/>
      <c r="F9" s="8">
        <v>0</v>
      </c>
      <c r="G9" s="51">
        <f t="shared" si="4"/>
        <v>270</v>
      </c>
      <c r="H9" s="129">
        <v>1</v>
      </c>
      <c r="I9" s="51"/>
      <c r="J9" s="129">
        <v>1</v>
      </c>
      <c r="K9" s="125">
        <f t="shared" si="1"/>
        <v>5301.88</v>
      </c>
      <c r="L9" s="107">
        <v>4</v>
      </c>
      <c r="M9" s="8">
        <f t="shared" si="2"/>
        <v>886.21</v>
      </c>
      <c r="N9" s="8">
        <v>17</v>
      </c>
      <c r="O9" s="51">
        <f t="shared" si="3"/>
        <v>3600.26</v>
      </c>
      <c r="P9" s="129">
        <v>34</v>
      </c>
      <c r="Q9" s="51">
        <f t="shared" si="5"/>
        <v>12072.03</v>
      </c>
      <c r="R9" s="10">
        <f t="shared" si="6"/>
        <v>1810.8045</v>
      </c>
      <c r="S9" s="119">
        <f t="shared" si="7"/>
        <v>13882.8345</v>
      </c>
      <c r="U9" s="63" t="s">
        <v>57</v>
      </c>
      <c r="V9" s="64">
        <v>377.38</v>
      </c>
    </row>
    <row r="10" spans="1:22" ht="12.75">
      <c r="A10" s="7" t="s">
        <v>15</v>
      </c>
      <c r="B10" s="33"/>
      <c r="C10" s="125">
        <f t="shared" si="0"/>
        <v>2013.68</v>
      </c>
      <c r="D10" s="107">
        <v>4</v>
      </c>
      <c r="E10" s="8"/>
      <c r="F10" s="8">
        <v>0</v>
      </c>
      <c r="G10" s="51">
        <f>230*H10</f>
        <v>0</v>
      </c>
      <c r="H10" s="129"/>
      <c r="I10" s="51"/>
      <c r="J10" s="129">
        <v>1</v>
      </c>
      <c r="K10" s="125">
        <f t="shared" si="1"/>
        <v>5301.88</v>
      </c>
      <c r="L10" s="107">
        <v>4</v>
      </c>
      <c r="M10" s="8">
        <f t="shared" si="2"/>
        <v>886.21</v>
      </c>
      <c r="N10" s="8">
        <v>17</v>
      </c>
      <c r="O10" s="51">
        <f t="shared" si="3"/>
        <v>3600.26</v>
      </c>
      <c r="P10" s="129">
        <v>34</v>
      </c>
      <c r="Q10" s="51">
        <f t="shared" si="5"/>
        <v>11802.03</v>
      </c>
      <c r="R10" s="10">
        <f t="shared" si="6"/>
        <v>1770.3045</v>
      </c>
      <c r="S10" s="119">
        <f t="shared" si="7"/>
        <v>13572.3345</v>
      </c>
      <c r="U10" s="111" t="s">
        <v>76</v>
      </c>
      <c r="V10" s="64">
        <v>491.63</v>
      </c>
    </row>
    <row r="11" spans="1:22" s="32" customFormat="1" ht="12.75">
      <c r="A11" s="34" t="s">
        <v>16</v>
      </c>
      <c r="B11" s="33"/>
      <c r="C11" s="125">
        <f t="shared" si="0"/>
        <v>2013.68</v>
      </c>
      <c r="D11" s="107">
        <v>4</v>
      </c>
      <c r="E11" s="8"/>
      <c r="F11" s="8">
        <v>0</v>
      </c>
      <c r="G11" s="51">
        <f>230*H11</f>
        <v>460</v>
      </c>
      <c r="H11" s="129">
        <v>2</v>
      </c>
      <c r="I11" s="51"/>
      <c r="J11" s="129">
        <v>1</v>
      </c>
      <c r="K11" s="125">
        <f t="shared" si="1"/>
        <v>5301.88</v>
      </c>
      <c r="L11" s="107">
        <v>4</v>
      </c>
      <c r="M11" s="8">
        <f t="shared" si="2"/>
        <v>886.21</v>
      </c>
      <c r="N11" s="8">
        <v>17</v>
      </c>
      <c r="O11" s="51">
        <f t="shared" si="3"/>
        <v>3600.26</v>
      </c>
      <c r="P11" s="129">
        <v>34</v>
      </c>
      <c r="Q11" s="51">
        <f>B11+C11+E11+G11+K11+M11+O11</f>
        <v>12262.03</v>
      </c>
      <c r="R11" s="10">
        <f t="shared" si="6"/>
        <v>1839.3045</v>
      </c>
      <c r="S11" s="119">
        <f>+Q11+R11+I11</f>
        <v>14101.3345</v>
      </c>
      <c r="U11" s="111" t="s">
        <v>78</v>
      </c>
      <c r="V11" s="64">
        <v>300</v>
      </c>
    </row>
    <row r="12" spans="1:22" ht="12.75">
      <c r="A12" s="33" t="s">
        <v>17</v>
      </c>
      <c r="B12" s="33"/>
      <c r="C12" s="125">
        <f t="shared" si="0"/>
        <v>2013.68</v>
      </c>
      <c r="D12" s="107">
        <v>4</v>
      </c>
      <c r="E12" s="8">
        <v>287</v>
      </c>
      <c r="F12" s="8">
        <v>1</v>
      </c>
      <c r="G12" s="51">
        <f>230*H12</f>
        <v>0</v>
      </c>
      <c r="H12" s="129"/>
      <c r="I12" s="51"/>
      <c r="J12" s="129">
        <v>1</v>
      </c>
      <c r="K12" s="125">
        <f t="shared" si="1"/>
        <v>5301.88</v>
      </c>
      <c r="L12" s="107">
        <v>4</v>
      </c>
      <c r="M12" s="8">
        <f t="shared" si="2"/>
        <v>938.34</v>
      </c>
      <c r="N12" s="8">
        <v>18</v>
      </c>
      <c r="O12" s="51">
        <f t="shared" si="3"/>
        <v>3706.15</v>
      </c>
      <c r="P12" s="129">
        <v>35</v>
      </c>
      <c r="Q12" s="51">
        <f>B12+C12+E12+G12+K12+M12+O12</f>
        <v>12247.05</v>
      </c>
      <c r="R12" s="10">
        <f t="shared" si="6"/>
        <v>1837.0575</v>
      </c>
      <c r="S12" s="119">
        <f>+Q12+R12+I12</f>
        <v>14084.107499999998</v>
      </c>
      <c r="U12" s="63" t="s">
        <v>60</v>
      </c>
      <c r="V12" s="64">
        <v>400</v>
      </c>
    </row>
    <row r="13" spans="1:22" s="97" customFormat="1" ht="12.75">
      <c r="A13" s="93" t="s">
        <v>18</v>
      </c>
      <c r="B13" s="94"/>
      <c r="C13" s="125">
        <f t="shared" si="0"/>
        <v>2013.68</v>
      </c>
      <c r="D13" s="107">
        <v>4</v>
      </c>
      <c r="E13" s="95"/>
      <c r="F13" s="8">
        <v>1</v>
      </c>
      <c r="G13" s="51">
        <f>230*H13</f>
        <v>0</v>
      </c>
      <c r="H13" s="141"/>
      <c r="I13" s="51"/>
      <c r="J13" s="129">
        <v>1</v>
      </c>
      <c r="K13" s="125">
        <f t="shared" si="1"/>
        <v>5301.88</v>
      </c>
      <c r="L13" s="107">
        <v>4</v>
      </c>
      <c r="M13" s="8">
        <f t="shared" si="2"/>
        <v>938.34</v>
      </c>
      <c r="N13" s="8">
        <v>18</v>
      </c>
      <c r="O13" s="51">
        <f t="shared" si="3"/>
        <v>3706.15</v>
      </c>
      <c r="P13" s="129">
        <v>35</v>
      </c>
      <c r="Q13" s="51">
        <f>B13+C13+E13+G13+K13+M13+O13</f>
        <v>11960.05</v>
      </c>
      <c r="R13" s="96">
        <f t="shared" si="6"/>
        <v>1794.0075</v>
      </c>
      <c r="S13" s="120">
        <f>+Q13+R13+I13</f>
        <v>13754.057499999999</v>
      </c>
      <c r="U13" s="63" t="s">
        <v>58</v>
      </c>
      <c r="V13" s="64">
        <v>500</v>
      </c>
    </row>
    <row r="14" spans="1:22" ht="13.5" thickBot="1">
      <c r="A14" s="98" t="s">
        <v>19</v>
      </c>
      <c r="B14" s="99"/>
      <c r="C14" s="181">
        <f>503.42*D14</f>
        <v>2013.68</v>
      </c>
      <c r="D14" s="126">
        <v>4</v>
      </c>
      <c r="E14" s="100"/>
      <c r="F14" s="108">
        <v>1</v>
      </c>
      <c r="G14" s="142">
        <v>0</v>
      </c>
      <c r="H14" s="101"/>
      <c r="I14" s="130"/>
      <c r="J14" s="101">
        <v>1</v>
      </c>
      <c r="K14" s="176">
        <f>1325.47*L14</f>
        <v>5301.88</v>
      </c>
      <c r="L14" s="126">
        <v>4</v>
      </c>
      <c r="M14" s="177">
        <f>52.13*N14</f>
        <v>938.34</v>
      </c>
      <c r="N14" s="172">
        <v>18</v>
      </c>
      <c r="O14" s="130">
        <f>105.89*P14</f>
        <v>3706.15</v>
      </c>
      <c r="P14" s="101">
        <v>35</v>
      </c>
      <c r="Q14" s="130">
        <f>B14+C14+E14+G14+K14+M14+O14</f>
        <v>11960.05</v>
      </c>
      <c r="R14" s="102">
        <f>+Q14*15%</f>
        <v>1794.0075</v>
      </c>
      <c r="S14" s="121">
        <f>+Q14+R14+I14</f>
        <v>13754.057499999999</v>
      </c>
      <c r="T14" s="97"/>
      <c r="U14" s="75" t="s">
        <v>59</v>
      </c>
      <c r="V14" s="179">
        <v>300</v>
      </c>
    </row>
    <row r="15" spans="4:16" ht="13.5" thickBot="1">
      <c r="D15" s="41">
        <f>AVERAGE(D3:D14)</f>
        <v>4</v>
      </c>
      <c r="E15" s="41"/>
      <c r="F15" s="41">
        <f>+F14</f>
        <v>1</v>
      </c>
      <c r="H15" s="41">
        <f>AVERAGE(H3:H14)</f>
        <v>1.3333333333333333</v>
      </c>
      <c r="I15" s="41"/>
      <c r="J15" s="41">
        <f>AVERAGE(J3:J14)</f>
        <v>1</v>
      </c>
      <c r="L15" s="41">
        <f>AVERAGE(L3:L14)</f>
        <v>4</v>
      </c>
      <c r="M15" s="41"/>
      <c r="N15" s="6">
        <v>15</v>
      </c>
      <c r="O15"/>
      <c r="P15" s="6">
        <f>AVERAGE(P3:P14)</f>
        <v>34.333333333333336</v>
      </c>
    </row>
    <row r="16" spans="1:22" s="17" customFormat="1" ht="13.5" thickBot="1">
      <c r="A16" s="13"/>
      <c r="B16" s="14">
        <f>SUM(B3:B15)</f>
        <v>0</v>
      </c>
      <c r="C16" s="14">
        <f>SUM(C3:C14)</f>
        <v>24164.16</v>
      </c>
      <c r="D16" s="15"/>
      <c r="E16" s="15">
        <f>SUM(E3:E14)</f>
        <v>574</v>
      </c>
      <c r="F16" s="15"/>
      <c r="G16" s="14">
        <f>SUM(G3:G14)</f>
        <v>1000</v>
      </c>
      <c r="H16" s="15"/>
      <c r="I16" s="15">
        <f>SUM(I3:I15)</f>
        <v>25.5</v>
      </c>
      <c r="J16" s="15"/>
      <c r="K16" s="15">
        <f>SUM(K3:K14)</f>
        <v>63622.55999999999</v>
      </c>
      <c r="L16" s="15"/>
      <c r="M16" s="15">
        <f>SUM(M3:M15)</f>
        <v>10634.52</v>
      </c>
      <c r="N16" s="174"/>
      <c r="O16" s="14">
        <f>SUM(O3:O14)</f>
        <v>43626.680000000015</v>
      </c>
      <c r="P16" s="16"/>
      <c r="Q16" s="15">
        <f>SUM(Q3:Q14)</f>
        <v>143621.91999999998</v>
      </c>
      <c r="R16" s="15">
        <f>SUM(R3:R14)</f>
        <v>21543.288</v>
      </c>
      <c r="S16" s="16">
        <f>SUM(S3:S14)</f>
        <v>165190.70799999998</v>
      </c>
      <c r="U16" s="114"/>
      <c r="V16" s="118">
        <f>SUM(V3:V14)</f>
        <v>5405.23</v>
      </c>
    </row>
    <row r="17" ht="13.5" thickBot="1"/>
    <row r="18" spans="2:22" ht="15" customHeight="1" thickBot="1">
      <c r="B18" s="1">
        <f>+B16*1.15</f>
        <v>0</v>
      </c>
      <c r="C18" s="4" t="s">
        <v>1</v>
      </c>
      <c r="D18" s="18">
        <f>+C16*1.15</f>
        <v>27788.783999999996</v>
      </c>
      <c r="E18" s="170" t="s">
        <v>74</v>
      </c>
      <c r="F18" s="171">
        <f>+E16*1.15</f>
        <v>660.0999999999999</v>
      </c>
      <c r="G18" s="169" t="s">
        <v>3</v>
      </c>
      <c r="H18" s="18">
        <f>+(G16)*1.15</f>
        <v>1150</v>
      </c>
      <c r="I18" s="168" t="s">
        <v>4</v>
      </c>
      <c r="J18" s="18">
        <f>+(I16)*1</f>
        <v>25.5</v>
      </c>
      <c r="K18" s="168" t="s">
        <v>4</v>
      </c>
      <c r="L18">
        <f>+K16*1.15</f>
        <v>73165.94399999999</v>
      </c>
      <c r="M18" s="5" t="s">
        <v>5</v>
      </c>
      <c r="N18" s="173">
        <f>+M16*1.15</f>
        <v>12229.698</v>
      </c>
      <c r="O18" s="5" t="s">
        <v>5</v>
      </c>
      <c r="P18" s="180">
        <f>+O16*1.15</f>
        <v>50170.682000000015</v>
      </c>
      <c r="R18" t="s">
        <v>31</v>
      </c>
      <c r="S18" s="18">
        <f>+B18+D18+F18+H18+J18+L18+N18+P18</f>
        <v>165190.70799999998</v>
      </c>
      <c r="V18" s="18"/>
    </row>
    <row r="19" ht="13.5" thickTop="1"/>
    <row r="20" spans="1:3" ht="12.75">
      <c r="A20" s="71" t="s">
        <v>41</v>
      </c>
      <c r="B20" s="71"/>
      <c r="C20" s="71">
        <v>175</v>
      </c>
    </row>
    <row r="21" ht="13.5" thickBot="1">
      <c r="K21" s="41"/>
    </row>
    <row r="22" spans="1:25" ht="21" thickBot="1">
      <c r="A22" s="55" t="s">
        <v>36</v>
      </c>
      <c r="B22" s="70" t="s">
        <v>37</v>
      </c>
      <c r="C22" s="70" t="s">
        <v>33</v>
      </c>
      <c r="D22" s="46"/>
      <c r="E22" s="131"/>
      <c r="F22" s="72" t="s">
        <v>42</v>
      </c>
      <c r="G22" s="105"/>
      <c r="I22" s="89" t="s">
        <v>20</v>
      </c>
      <c r="J22" s="80"/>
      <c r="K22" s="73"/>
      <c r="U22" t="s">
        <v>53</v>
      </c>
      <c r="Y22" t="s">
        <v>83</v>
      </c>
    </row>
    <row r="23" spans="1:22" ht="27.75" customHeight="1" thickBot="1">
      <c r="A23" s="58">
        <f>+A2</f>
        <v>2023</v>
      </c>
      <c r="B23" s="56" t="s">
        <v>38</v>
      </c>
      <c r="C23" s="57" t="s">
        <v>39</v>
      </c>
      <c r="D23" s="69" t="s">
        <v>40</v>
      </c>
      <c r="E23" s="132"/>
      <c r="F23" s="86" t="s">
        <v>21</v>
      </c>
      <c r="G23" s="85" t="s">
        <v>22</v>
      </c>
      <c r="I23" s="87" t="s">
        <v>21</v>
      </c>
      <c r="J23" s="83"/>
      <c r="K23" s="88" t="s">
        <v>46</v>
      </c>
      <c r="L23" s="25"/>
      <c r="M23" s="25"/>
      <c r="N23" s="25"/>
      <c r="U23" s="116" t="s">
        <v>52</v>
      </c>
      <c r="V23" s="117">
        <f>+S18+V16</f>
        <v>170595.938</v>
      </c>
    </row>
    <row r="24" spans="1:11" ht="13.5" thickTop="1">
      <c r="A24" s="59" t="s">
        <v>8</v>
      </c>
      <c r="B24" s="11"/>
      <c r="C24" s="11"/>
      <c r="D24" s="60">
        <f aca="true" t="shared" si="8" ref="D24:D35">SUM(B24:C24)</f>
        <v>0</v>
      </c>
      <c r="E24" s="132"/>
      <c r="F24" s="37" t="s">
        <v>23</v>
      </c>
      <c r="G24" s="38" t="s">
        <v>23</v>
      </c>
      <c r="I24" s="76" t="s">
        <v>23</v>
      </c>
      <c r="J24" s="32"/>
      <c r="K24" s="77" t="s">
        <v>23</v>
      </c>
    </row>
    <row r="25" spans="1:11" ht="16.5" thickBot="1">
      <c r="A25" s="59" t="s">
        <v>9</v>
      </c>
      <c r="B25" s="52">
        <v>14687</v>
      </c>
      <c r="C25" s="11"/>
      <c r="D25" s="60">
        <f t="shared" si="8"/>
        <v>14687</v>
      </c>
      <c r="E25" s="132"/>
      <c r="F25" s="39">
        <f>(V23)/C20</f>
        <v>974.8339314285714</v>
      </c>
      <c r="G25" s="40">
        <f>+V23/P15+N15</f>
        <v>4983.813728155339</v>
      </c>
      <c r="I25" s="81">
        <f>+(B18+P18+N18)/C20</f>
        <v>356.5736000000001</v>
      </c>
      <c r="J25" s="175"/>
      <c r="K25" s="82">
        <f>+(N18+P18)/(P15+N15)</f>
        <v>1264.8725675675678</v>
      </c>
    </row>
    <row r="26" spans="1:15" ht="12.75">
      <c r="A26" s="59" t="s">
        <v>10</v>
      </c>
      <c r="B26" s="11"/>
      <c r="C26" s="11"/>
      <c r="D26" s="60">
        <f t="shared" si="8"/>
        <v>0</v>
      </c>
      <c r="E26" s="132"/>
      <c r="F26" s="132"/>
      <c r="O26"/>
    </row>
    <row r="27" spans="1:15" ht="12.75">
      <c r="A27" s="59" t="s">
        <v>11</v>
      </c>
      <c r="B27" s="11"/>
      <c r="C27" s="11">
        <v>88213</v>
      </c>
      <c r="D27" s="60">
        <f t="shared" si="8"/>
        <v>88213</v>
      </c>
      <c r="E27" s="132"/>
      <c r="F27" s="132"/>
      <c r="O27"/>
    </row>
    <row r="28" spans="1:15" ht="12.75">
      <c r="A28" s="59" t="s">
        <v>12</v>
      </c>
      <c r="B28" s="52">
        <f>13779*1.15</f>
        <v>15845.849999999999</v>
      </c>
      <c r="C28" s="11"/>
      <c r="D28" s="60">
        <f t="shared" si="8"/>
        <v>15845.849999999999</v>
      </c>
      <c r="E28" s="132"/>
      <c r="F28" s="132"/>
      <c r="O28"/>
    </row>
    <row r="29" spans="1:6" ht="13.5" thickBot="1">
      <c r="A29" s="59" t="s">
        <v>13</v>
      </c>
      <c r="B29" s="11"/>
      <c r="C29" s="11"/>
      <c r="D29" s="60">
        <f t="shared" si="8"/>
        <v>0</v>
      </c>
      <c r="E29" s="132"/>
      <c r="F29" s="132"/>
    </row>
    <row r="30" spans="1:14" ht="15" customHeight="1" thickBot="1">
      <c r="A30" s="59" t="s">
        <v>14</v>
      </c>
      <c r="B30" s="52">
        <f>15598.5*1.15</f>
        <v>17938.274999999998</v>
      </c>
      <c r="C30" s="11"/>
      <c r="D30" s="60">
        <f t="shared" si="8"/>
        <v>17938.274999999998</v>
      </c>
      <c r="E30" s="132"/>
      <c r="F30" s="74" t="s">
        <v>43</v>
      </c>
      <c r="G30" s="106"/>
      <c r="L30" s="32"/>
      <c r="M30" s="32"/>
      <c r="N30" s="32"/>
    </row>
    <row r="31" spans="1:14" ht="12.75">
      <c r="A31" s="59" t="s">
        <v>15</v>
      </c>
      <c r="B31" s="11"/>
      <c r="C31" s="11"/>
      <c r="D31" s="60">
        <f t="shared" si="8"/>
        <v>0</v>
      </c>
      <c r="E31" s="132"/>
      <c r="F31" s="63" t="s">
        <v>45</v>
      </c>
      <c r="G31" s="107"/>
      <c r="I31" s="184" t="s">
        <v>73</v>
      </c>
      <c r="J31" s="185"/>
      <c r="L31" s="8"/>
      <c r="M31" s="8"/>
      <c r="N31" s="8"/>
    </row>
    <row r="32" spans="1:14" ht="13.5" thickBot="1">
      <c r="A32" s="59" t="s">
        <v>16</v>
      </c>
      <c r="B32" s="11"/>
      <c r="C32" s="11"/>
      <c r="D32" s="60">
        <f t="shared" si="8"/>
        <v>0</v>
      </c>
      <c r="E32" s="132"/>
      <c r="F32" s="75" t="s">
        <v>44</v>
      </c>
      <c r="G32" s="108"/>
      <c r="I32" s="186" t="s">
        <v>77</v>
      </c>
      <c r="J32" s="187"/>
      <c r="L32" s="84"/>
      <c r="M32" s="84"/>
      <c r="N32" s="84"/>
    </row>
    <row r="33" spans="1:14" ht="12.75">
      <c r="A33" s="59" t="s">
        <v>17</v>
      </c>
      <c r="B33" s="11">
        <v>19552</v>
      </c>
      <c r="C33" s="11"/>
      <c r="D33" s="60">
        <f t="shared" si="8"/>
        <v>19552</v>
      </c>
      <c r="E33" s="132"/>
      <c r="F33" s="87" t="s">
        <v>21</v>
      </c>
      <c r="G33" s="88" t="s">
        <v>46</v>
      </c>
      <c r="I33" s="90" t="s">
        <v>21</v>
      </c>
      <c r="J33" s="109" t="s">
        <v>48</v>
      </c>
      <c r="L33" s="8"/>
      <c r="M33" s="8"/>
      <c r="N33" s="8"/>
    </row>
    <row r="34" spans="1:10" ht="12.75">
      <c r="A34" s="59" t="s">
        <v>18</v>
      </c>
      <c r="B34" s="11"/>
      <c r="C34" s="11"/>
      <c r="D34" s="60">
        <f t="shared" si="8"/>
        <v>0</v>
      </c>
      <c r="E34" s="132"/>
      <c r="F34" s="76" t="s">
        <v>23</v>
      </c>
      <c r="G34" s="77" t="s">
        <v>23</v>
      </c>
      <c r="I34" s="91" t="s">
        <v>23</v>
      </c>
      <c r="J34" s="91" t="s">
        <v>23</v>
      </c>
    </row>
    <row r="35" spans="1:14" ht="15.75" thickBot="1">
      <c r="A35" s="61" t="s">
        <v>19</v>
      </c>
      <c r="B35" s="12"/>
      <c r="C35" s="12"/>
      <c r="D35" s="62">
        <f t="shared" si="8"/>
        <v>0</v>
      </c>
      <c r="E35" s="132"/>
      <c r="F35" s="78">
        <f>+(D37-V23)/C20</f>
        <v>-82.05607428571426</v>
      </c>
      <c r="G35" s="79">
        <f>+(D37-V23)/(P15+N15)</f>
        <v>-291.07729054054045</v>
      </c>
      <c r="I35" s="92">
        <f>+(D18+F18+H18+J18+L18)/C20</f>
        <v>587.3733028571428</v>
      </c>
      <c r="J35" s="92">
        <f>+(D18+F18+J18+H18+L18)/(D15+F15+J15+H15+L15)</f>
        <v>9069.73482352941</v>
      </c>
      <c r="L35" s="1"/>
      <c r="M35" s="1"/>
      <c r="N35" s="1"/>
    </row>
    <row r="36" spans="1:15" ht="13.5" thickBot="1">
      <c r="A36" s="63"/>
      <c r="B36" s="32"/>
      <c r="C36" s="32"/>
      <c r="D36" s="64"/>
      <c r="E36" s="32"/>
      <c r="F36" s="32"/>
      <c r="H36" s="1"/>
      <c r="I36" s="1"/>
      <c r="J36" s="1"/>
      <c r="O36"/>
    </row>
    <row r="37" spans="1:15" ht="13.5" thickBot="1">
      <c r="A37" s="65"/>
      <c r="B37" s="66">
        <f>SUM(B24:B35)</f>
        <v>68023.125</v>
      </c>
      <c r="C37" s="67">
        <f>SUM(C24:C35)</f>
        <v>88213</v>
      </c>
      <c r="D37" s="68">
        <f>SUM(D24:D35)</f>
        <v>156236.125</v>
      </c>
      <c r="E37" s="9"/>
      <c r="F37" s="9"/>
      <c r="H37" s="1"/>
      <c r="I37" s="1"/>
      <c r="J37" s="1"/>
      <c r="K37" s="6"/>
      <c r="O37"/>
    </row>
    <row r="38" ht="12.75">
      <c r="R38" s="20"/>
    </row>
  </sheetData>
  <sheetProtection selectLockedCells="1" selectUnlockedCells="1"/>
  <mergeCells count="3">
    <mergeCell ref="U2:V2"/>
    <mergeCell ref="I31:J31"/>
    <mergeCell ref="I32:J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H25" sqref="H25"/>
    </sheetView>
  </sheetViews>
  <sheetFormatPr defaultColWidth="11.57421875" defaultRowHeight="12.75"/>
  <cols>
    <col min="1" max="1" width="32.28125" style="0" customWidth="1"/>
    <col min="2" max="2" width="21.00390625" style="0" customWidth="1"/>
    <col min="3" max="3" width="23.00390625" style="0" customWidth="1"/>
    <col min="4" max="6" width="11.57421875" style="0" customWidth="1"/>
    <col min="7" max="7" width="14.8515625" style="0" customWidth="1"/>
    <col min="8" max="8" width="11.57421875" style="0" customWidth="1"/>
    <col min="9" max="9" width="12.00390625" style="0" customWidth="1"/>
  </cols>
  <sheetData>
    <row r="1" s="1" customFormat="1" ht="12.75">
      <c r="A1" s="25"/>
    </row>
    <row r="2" s="1" customFormat="1" ht="24" customHeight="1">
      <c r="A2" s="26" t="s">
        <v>25</v>
      </c>
    </row>
    <row r="3" s="1" customFormat="1" ht="13.5" customHeight="1">
      <c r="A3" s="27"/>
    </row>
    <row r="4" spans="1:3" s="22" customFormat="1" ht="15.75">
      <c r="A4" s="115" t="s">
        <v>51</v>
      </c>
      <c r="B4" s="188" t="s">
        <v>32</v>
      </c>
      <c r="C4" s="188" t="s">
        <v>26</v>
      </c>
    </row>
    <row r="5" spans="1:3" s="1" customFormat="1" ht="12.75">
      <c r="A5" s="23" t="s">
        <v>27</v>
      </c>
      <c r="B5" s="23" t="s">
        <v>21</v>
      </c>
      <c r="C5" s="23" t="s">
        <v>22</v>
      </c>
    </row>
    <row r="6" spans="1:3" s="24" customFormat="1" ht="15.75">
      <c r="A6" s="113">
        <f>+'fakturace '!S18+'fakturace '!V16</f>
        <v>170595.938</v>
      </c>
      <c r="B6" s="28">
        <f>+A6/'fakturace '!C20</f>
        <v>974.8339314285714</v>
      </c>
      <c r="C6" s="28">
        <f>+'fakturace '!G25</f>
        <v>4983.813728155339</v>
      </c>
    </row>
    <row r="7" s="1" customFormat="1" ht="12.75"/>
    <row r="9" ht="24" customHeight="1">
      <c r="A9" s="29" t="s">
        <v>36</v>
      </c>
    </row>
    <row r="11" spans="1:3" s="19" customFormat="1" ht="15">
      <c r="A11" s="21" t="s">
        <v>27</v>
      </c>
      <c r="B11" s="21" t="s">
        <v>28</v>
      </c>
      <c r="C11" s="21" t="s">
        <v>29</v>
      </c>
    </row>
    <row r="12" spans="1:3" s="19" customFormat="1" ht="15">
      <c r="A12" s="30">
        <f>+B12+C12</f>
        <v>156236.125</v>
      </c>
      <c r="B12" s="30">
        <f>+'fakturace '!C37</f>
        <v>88213</v>
      </c>
      <c r="C12" s="30">
        <f>+'fakturace '!B37</f>
        <v>68023.125</v>
      </c>
    </row>
    <row r="17" spans="1:3" ht="17.25">
      <c r="A17" s="54" t="s">
        <v>47</v>
      </c>
      <c r="B17" s="53"/>
      <c r="C17" s="53"/>
    </row>
    <row r="19" spans="1:3" ht="15">
      <c r="A19" s="21" t="s">
        <v>35</v>
      </c>
      <c r="B19" s="188" t="s">
        <v>75</v>
      </c>
      <c r="C19" s="188"/>
    </row>
    <row r="20" spans="1:3" ht="12.75">
      <c r="A20" s="23" t="s">
        <v>30</v>
      </c>
      <c r="B20" s="42" t="s">
        <v>21</v>
      </c>
      <c r="C20" s="43" t="s">
        <v>22</v>
      </c>
    </row>
    <row r="21" spans="1:3" ht="15">
      <c r="A21" s="31">
        <f>+A12-A6</f>
        <v>-14359.812999999995</v>
      </c>
      <c r="B21" s="44">
        <f>+A21/'fakturace '!C20</f>
        <v>-82.05607428571426</v>
      </c>
      <c r="C21" s="45">
        <f>+'fakturace '!G35</f>
        <v>-291.07729054054045</v>
      </c>
    </row>
    <row r="26" ht="20.25">
      <c r="A26" s="122"/>
    </row>
  </sheetData>
  <sheetProtection selectLockedCells="1" selectUnlockedCells="1"/>
  <mergeCells count="2">
    <mergeCell ref="B4:C4"/>
    <mergeCell ref="B19:C19"/>
  </mergeCell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Roman,obyčejné"&amp;12&amp;A</oddHeader>
    <oddFooter>&amp;C&amp;"Times New Roman,obyčejné"&amp;12Stránka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29.140625" style="0" customWidth="1"/>
    <col min="2" max="2" width="12.8515625" style="0" customWidth="1"/>
    <col min="3" max="3" width="5.28125" style="0" customWidth="1"/>
    <col min="4" max="4" width="31.7109375" style="0" customWidth="1"/>
    <col min="5" max="5" width="12.00390625" style="0" customWidth="1"/>
  </cols>
  <sheetData>
    <row r="1" spans="1:5" ht="21">
      <c r="A1" s="143" t="s">
        <v>62</v>
      </c>
      <c r="B1" s="22"/>
      <c r="C1" s="19"/>
      <c r="D1" s="19"/>
      <c r="E1" s="22"/>
    </row>
    <row r="2" spans="1:5" ht="15.75" thickBot="1">
      <c r="A2" s="144">
        <v>2023</v>
      </c>
      <c r="B2" s="22"/>
      <c r="C2" s="19"/>
      <c r="D2" s="19"/>
      <c r="E2" s="22"/>
    </row>
    <row r="3" spans="1:5" ht="18" thickBot="1">
      <c r="A3" s="145" t="s">
        <v>63</v>
      </c>
      <c r="B3" s="146" t="s">
        <v>23</v>
      </c>
      <c r="C3" s="147"/>
      <c r="D3" s="145" t="s">
        <v>64</v>
      </c>
      <c r="E3" s="146" t="s">
        <v>23</v>
      </c>
    </row>
    <row r="4" spans="1:5" ht="18" thickBot="1">
      <c r="A4" s="148"/>
      <c r="B4" s="149"/>
      <c r="C4" s="147"/>
      <c r="D4" s="147"/>
      <c r="E4" s="150"/>
    </row>
    <row r="5" spans="1:5" ht="15">
      <c r="A5" s="151" t="s">
        <v>65</v>
      </c>
      <c r="B5" s="152">
        <f>87823-B7</f>
        <v>81586</v>
      </c>
      <c r="C5" s="153"/>
      <c r="D5" s="151" t="s">
        <v>66</v>
      </c>
      <c r="E5" s="152">
        <f>+'fakturace '!P18+'fakturace '!N18</f>
        <v>62400.38000000002</v>
      </c>
    </row>
    <row r="6" spans="1:5" ht="15">
      <c r="A6" s="154"/>
      <c r="B6" s="155"/>
      <c r="C6" s="153"/>
      <c r="D6" s="154"/>
      <c r="E6" s="155"/>
    </row>
    <row r="7" spans="1:5" ht="15">
      <c r="A7" s="154" t="s">
        <v>67</v>
      </c>
      <c r="B7" s="155">
        <v>6237</v>
      </c>
      <c r="C7" s="153"/>
      <c r="D7" s="154" t="s">
        <v>68</v>
      </c>
      <c r="E7" s="155">
        <f>+'fakturace '!D18+'fakturace '!F18+'fakturace '!H18+'fakturace '!J18+'fakturace '!L18</f>
        <v>102790.32799999998</v>
      </c>
    </row>
    <row r="8" spans="1:5" ht="15">
      <c r="A8" s="154" t="s">
        <v>69</v>
      </c>
      <c r="B8" s="155">
        <f>+'fakturace '!B37</f>
        <v>68023.125</v>
      </c>
      <c r="C8" s="153"/>
      <c r="D8" s="154" t="s">
        <v>72</v>
      </c>
      <c r="E8" s="155">
        <f>+'fakturace '!B18</f>
        <v>0</v>
      </c>
    </row>
    <row r="9" spans="1:5" ht="15">
      <c r="A9" s="154"/>
      <c r="B9" s="155"/>
      <c r="C9" s="153"/>
      <c r="D9" s="154" t="s">
        <v>82</v>
      </c>
      <c r="E9" s="155">
        <v>20998</v>
      </c>
    </row>
    <row r="10" spans="1:5" ht="15" thickBot="1">
      <c r="A10" s="156"/>
      <c r="B10" s="157"/>
      <c r="C10" s="153"/>
      <c r="D10" s="156" t="s">
        <v>70</v>
      </c>
      <c r="E10" s="157">
        <f>+'fakturace '!V16</f>
        <v>5405.23</v>
      </c>
    </row>
    <row r="11" spans="1:5" ht="15" thickBot="1">
      <c r="A11" s="154"/>
      <c r="B11" s="158"/>
      <c r="C11" s="153"/>
      <c r="D11" s="159"/>
      <c r="E11" s="155"/>
    </row>
    <row r="12" spans="1:5" ht="18" thickBot="1">
      <c r="A12" s="160" t="s">
        <v>71</v>
      </c>
      <c r="B12" s="161">
        <f>SUM(B5:B11)</f>
        <v>155846.125</v>
      </c>
      <c r="C12" s="153"/>
      <c r="D12" s="162"/>
      <c r="E12" s="161">
        <f>SUM(E5:E11)</f>
        <v>191593.938</v>
      </c>
    </row>
    <row r="13" spans="1:5" ht="15">
      <c r="A13" s="19"/>
      <c r="B13" s="163"/>
      <c r="C13" s="19"/>
      <c r="D13" s="19"/>
      <c r="E13" s="163"/>
    </row>
    <row r="14" spans="1:5" ht="15" thickBot="1">
      <c r="A14" s="19"/>
      <c r="B14" s="163"/>
      <c r="C14" s="19"/>
      <c r="D14" s="19"/>
      <c r="E14" s="22"/>
    </row>
    <row r="15" spans="1:5" ht="21" thickBot="1">
      <c r="A15" s="164" t="s">
        <v>79</v>
      </c>
      <c r="B15" s="165"/>
      <c r="C15" s="166"/>
      <c r="D15" s="166"/>
      <c r="E15" s="167">
        <f>+E12-B12</f>
        <v>35747.812999999995</v>
      </c>
    </row>
    <row r="16" spans="1:5" ht="15">
      <c r="A16" s="19"/>
      <c r="B16" s="22"/>
      <c r="C16" s="19"/>
      <c r="D16" s="19"/>
      <c r="E16" s="189">
        <f>+E15/E12</f>
        <v>0.18658112763463316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Bucharová</dc:creator>
  <cp:keywords/>
  <dc:description/>
  <cp:lastModifiedBy>Miluše Bucharová</cp:lastModifiedBy>
  <dcterms:created xsi:type="dcterms:W3CDTF">2017-03-04T18:33:34Z</dcterms:created>
  <dcterms:modified xsi:type="dcterms:W3CDTF">2024-01-02T07:46:58Z</dcterms:modified>
  <cp:category/>
  <cp:version/>
  <cp:contentType/>
  <cp:contentStatus/>
</cp:coreProperties>
</file>